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50" activeTab="1"/>
  </bookViews>
  <sheets>
    <sheet name="ABC" sheetId="1" r:id="rId1"/>
    <sheet name="ABC ET CENTRES D'ANALYS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2" l="1"/>
  <c r="D74" i="2"/>
  <c r="D73" i="2"/>
  <c r="D75" i="2" s="1"/>
  <c r="D72" i="2"/>
  <c r="D69" i="2"/>
  <c r="D65" i="2"/>
  <c r="G57" i="2"/>
  <c r="F8" i="2" s="1"/>
  <c r="G8" i="2" s="1"/>
  <c r="F57" i="2"/>
  <c r="G56" i="2"/>
  <c r="F56" i="2"/>
  <c r="E56" i="2"/>
  <c r="D58" i="2"/>
  <c r="D59" i="2" s="1"/>
  <c r="C58" i="2"/>
  <c r="C59" i="2" s="1"/>
  <c r="E24" i="2"/>
  <c r="B24" i="2"/>
  <c r="E23" i="2"/>
  <c r="B23" i="2"/>
  <c r="B22" i="2"/>
  <c r="F21" i="2"/>
  <c r="B21" i="2"/>
  <c r="F20" i="2"/>
  <c r="B20" i="2"/>
  <c r="F19" i="2"/>
  <c r="B19" i="2"/>
  <c r="B18" i="2"/>
  <c r="B25" i="2" s="1"/>
  <c r="E50" i="2"/>
  <c r="D50" i="2"/>
  <c r="E46" i="2"/>
  <c r="D45" i="2"/>
  <c r="E44" i="2"/>
  <c r="D43" i="2"/>
  <c r="E42" i="2"/>
  <c r="E40" i="2"/>
  <c r="D39" i="2"/>
  <c r="E38" i="2"/>
  <c r="D37" i="2"/>
  <c r="E36" i="2"/>
  <c r="D35" i="2"/>
  <c r="D33" i="2"/>
  <c r="D32" i="2"/>
  <c r="D31" i="2"/>
  <c r="D30" i="2"/>
  <c r="D29" i="2"/>
  <c r="D34" i="2" s="1"/>
  <c r="F16" i="2"/>
  <c r="G16" i="2" s="1"/>
  <c r="F15" i="2"/>
  <c r="G15" i="2" s="1"/>
  <c r="F14" i="2"/>
  <c r="G14" i="2" s="1"/>
  <c r="G13" i="2"/>
  <c r="D41" i="2" s="1"/>
  <c r="F12" i="2"/>
  <c r="F7" i="2"/>
  <c r="G7" i="2" s="1"/>
  <c r="D47" i="2" l="1"/>
  <c r="E48" i="2" s="1"/>
  <c r="E34" i="2"/>
  <c r="D49" i="2"/>
  <c r="F22" i="2"/>
  <c r="E49" i="2" l="1"/>
  <c r="B57" i="2" s="1"/>
  <c r="D51" i="2"/>
  <c r="E51" i="2" s="1"/>
  <c r="E12" i="2"/>
  <c r="G12" i="2" s="1"/>
  <c r="E6" i="2"/>
  <c r="G6" i="2" s="1"/>
  <c r="J37" i="1"/>
  <c r="J36" i="1"/>
  <c r="J35" i="1"/>
  <c r="J34" i="1"/>
  <c r="J33" i="1"/>
  <c r="J32" i="1"/>
  <c r="J31" i="1"/>
  <c r="J30" i="1"/>
  <c r="J38" i="1" s="1"/>
  <c r="G37" i="1"/>
  <c r="G36" i="1"/>
  <c r="G35" i="1"/>
  <c r="G34" i="1"/>
  <c r="G33" i="1"/>
  <c r="G32" i="1"/>
  <c r="G31" i="1"/>
  <c r="G30" i="1"/>
  <c r="G38" i="1" s="1"/>
  <c r="B34" i="1"/>
  <c r="D34" i="1" s="1"/>
  <c r="D30" i="1"/>
  <c r="K22" i="1"/>
  <c r="B37" i="1" s="1"/>
  <c r="D37" i="1" s="1"/>
  <c r="K21" i="1"/>
  <c r="B36" i="1" s="1"/>
  <c r="D36" i="1" s="1"/>
  <c r="K16" i="1"/>
  <c r="K12" i="1"/>
  <c r="B32" i="1" s="1"/>
  <c r="D32" i="1" s="1"/>
  <c r="K11" i="1"/>
  <c r="B31" i="1" s="1"/>
  <c r="D31" i="1" s="1"/>
  <c r="K10" i="1"/>
  <c r="G25" i="1"/>
  <c r="K23" i="1" s="1"/>
  <c r="G20" i="1"/>
  <c r="K17" i="1" s="1"/>
  <c r="B35" i="1" s="1"/>
  <c r="D35" i="1" s="1"/>
  <c r="G15" i="1"/>
  <c r="B58" i="2" l="1"/>
  <c r="B59" i="2" s="1"/>
  <c r="E57" i="2"/>
  <c r="G40" i="1"/>
  <c r="G41" i="1" s="1"/>
  <c r="E39" i="1"/>
  <c r="G39" i="1" s="1"/>
  <c r="H39" i="1"/>
  <c r="J39" i="1" s="1"/>
  <c r="J40" i="1" s="1"/>
  <c r="J41" i="1" s="1"/>
  <c r="G26" i="1"/>
  <c r="K13" i="1"/>
  <c r="B33" i="1" s="1"/>
  <c r="D33" i="1" s="1"/>
  <c r="D38" i="1" s="1"/>
  <c r="B39" i="1" l="1"/>
  <c r="D39" i="1" s="1"/>
  <c r="D40" i="1" s="1"/>
  <c r="D41" i="1" s="1"/>
</calcChain>
</file>

<file path=xl/sharedStrings.xml><?xml version="1.0" encoding="utf-8"?>
<sst xmlns="http://schemas.openxmlformats.org/spreadsheetml/2006/main" count="166" uniqueCount="119">
  <si>
    <t>Coût des activités par produit</t>
  </si>
  <si>
    <t>Résultat par unité produite</t>
  </si>
  <si>
    <t>Coût des inducteurs par centre de regroupement</t>
  </si>
  <si>
    <t>Inducteurs</t>
  </si>
  <si>
    <t>Activités</t>
  </si>
  <si>
    <t>Coût des activités</t>
  </si>
  <si>
    <t>Volume de l'inducteur</t>
  </si>
  <si>
    <t>Coût de l'inducteur</t>
  </si>
  <si>
    <t>Référence composant acheté</t>
  </si>
  <si>
    <t>Référence composant fabriqué</t>
  </si>
  <si>
    <t>Livraison reçue</t>
  </si>
  <si>
    <t>Référence produit</t>
  </si>
  <si>
    <t>Modification apportée</t>
  </si>
  <si>
    <t>Lot fabriqué</t>
  </si>
  <si>
    <t>Commande client</t>
  </si>
  <si>
    <t>Coût ajouté</t>
  </si>
  <si>
    <t>Gestion fournisseurs</t>
  </si>
  <si>
    <t>Gestion de sous-traitance</t>
  </si>
  <si>
    <t>Gestion des livraisons</t>
  </si>
  <si>
    <t>Conception produits</t>
  </si>
  <si>
    <t>Promotion</t>
  </si>
  <si>
    <t>Développement</t>
  </si>
  <si>
    <t>Planification fabrication</t>
  </si>
  <si>
    <t>Lancement fabrication</t>
  </si>
  <si>
    <t>Contrôle fabrication</t>
  </si>
  <si>
    <t>Unité assemblée</t>
  </si>
  <si>
    <t>Assemblage</t>
  </si>
  <si>
    <t>Expédition</t>
  </si>
  <si>
    <t>Comptabilité</t>
  </si>
  <si>
    <t>sous-total</t>
  </si>
  <si>
    <t>Administration générale</t>
  </si>
  <si>
    <t>Coüt des activités par produit</t>
  </si>
  <si>
    <t>Inducteur</t>
  </si>
  <si>
    <t>E1</t>
  </si>
  <si>
    <t>E2</t>
  </si>
  <si>
    <t>E3</t>
  </si>
  <si>
    <t>Sous-total</t>
  </si>
  <si>
    <t>Coût total</t>
  </si>
  <si>
    <t>Coût unitaire</t>
  </si>
  <si>
    <t>Coût unitaire des inducteurs</t>
  </si>
  <si>
    <t>1. Coût de P1</t>
  </si>
  <si>
    <t>Coût total des inducteurs</t>
  </si>
  <si>
    <t>Coût unitaire de l'inducteur</t>
  </si>
  <si>
    <t>Nombre de références</t>
  </si>
  <si>
    <t>Relation fournisseurs</t>
  </si>
  <si>
    <t>Suivi de stocks</t>
  </si>
  <si>
    <t>Nombre de lots réceptionnés</t>
  </si>
  <si>
    <t>Contrôle réception</t>
  </si>
  <si>
    <t>Nombre de manipulations</t>
  </si>
  <si>
    <t>Logistique interne</t>
  </si>
  <si>
    <t>Nombre de lots fabriqués</t>
  </si>
  <si>
    <t>Ordonnancement A1</t>
  </si>
  <si>
    <t>Production A1</t>
  </si>
  <si>
    <t>Contrôle</t>
  </si>
  <si>
    <t>Nombre de modèles</t>
  </si>
  <si>
    <t>Conception</t>
  </si>
  <si>
    <t>Poids des composants</t>
  </si>
  <si>
    <t>Ordonnancement A2</t>
  </si>
  <si>
    <t>Temps machine</t>
  </si>
  <si>
    <t>Production A2</t>
  </si>
  <si>
    <t>Administration</t>
  </si>
  <si>
    <t xml:space="preserve">Sous-total </t>
  </si>
  <si>
    <t>Composant A</t>
  </si>
  <si>
    <t>Composant B</t>
  </si>
  <si>
    <t>Composant C</t>
  </si>
  <si>
    <t>Composant D</t>
  </si>
  <si>
    <t>Composant E</t>
  </si>
  <si>
    <t>Composant F</t>
  </si>
  <si>
    <t>Composant G</t>
  </si>
  <si>
    <t>Pour P1</t>
  </si>
  <si>
    <t>Pour P2</t>
  </si>
  <si>
    <t>Pour P3</t>
  </si>
  <si>
    <t>Nombre de lots x le n° de composants</t>
  </si>
  <si>
    <t>heures</t>
  </si>
  <si>
    <t>Coût du P1</t>
  </si>
  <si>
    <t>Coût Unitaire</t>
  </si>
  <si>
    <t>1/3</t>
  </si>
  <si>
    <t>1/2</t>
  </si>
  <si>
    <t>37 333,33/40000 unités</t>
  </si>
  <si>
    <t>Nombre de lots récéptionnés</t>
  </si>
  <si>
    <t>50 x 1000</t>
  </si>
  <si>
    <t>50000 / 40000 unités</t>
  </si>
  <si>
    <t>30*5*100</t>
  </si>
  <si>
    <t>15000/40000 unités</t>
  </si>
  <si>
    <t>30*2000</t>
  </si>
  <si>
    <t>60000/40000 unités</t>
  </si>
  <si>
    <t>100000/40000 unités</t>
  </si>
  <si>
    <t>1,2 kg x 40 000 x 2</t>
  </si>
  <si>
    <t>96000/40000 unités</t>
  </si>
  <si>
    <t>3hrs x 40000 x3</t>
  </si>
  <si>
    <t>360000/40000 unités</t>
  </si>
  <si>
    <t>37 333,33 +</t>
  </si>
  <si>
    <t>71 833,33 / 40000 unités</t>
  </si>
  <si>
    <t>Coût des composants</t>
  </si>
  <si>
    <t>Coût de revient</t>
  </si>
  <si>
    <t>2. Phénomène de subventionnement</t>
  </si>
  <si>
    <t>P1</t>
  </si>
  <si>
    <t>P2</t>
  </si>
  <si>
    <t>P3</t>
  </si>
  <si>
    <t>Centres d'analyses</t>
  </si>
  <si>
    <t>ABC</t>
  </si>
  <si>
    <t>Incidence de la méthode des centres, en €</t>
  </si>
  <si>
    <t>3.</t>
  </si>
  <si>
    <t>Quels inducteurs sont concernés?</t>
  </si>
  <si>
    <t>Lots fabriqués</t>
  </si>
  <si>
    <t>Nombre de lots</t>
  </si>
  <si>
    <t>(15 000 / 500) + 30+30</t>
  </si>
  <si>
    <t>lots</t>
  </si>
  <si>
    <t>Manipulations</t>
  </si>
  <si>
    <t>(30 * 5) + 150 + 120</t>
  </si>
  <si>
    <t>Variation du coût de P3</t>
  </si>
  <si>
    <t>30 x €2 777,78 - 65  x 2000</t>
  </si>
  <si>
    <t>150 x 141,67  - 325 x 100</t>
  </si>
  <si>
    <t>Valeur ajoutée</t>
  </si>
  <si>
    <t>(-46666,90 - 11 249,50) x 0,10</t>
  </si>
  <si>
    <t>Soit - 63 708,04 / 15000 unités</t>
  </si>
  <si>
    <t xml:space="preserve">soit une économie de </t>
  </si>
  <si>
    <t xml:space="preserve">Soit nouveau coût de P3 </t>
  </si>
  <si>
    <t>sur 178,88, soit €174,63 pour le vendre à €175,00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</si>
</sst>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€"/>
    <numFmt numFmtId="165" formatCode="#,##0.00\ _€"/>
    <numFmt numFmtId="166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top"/>
    </xf>
    <xf numFmtId="164" fontId="0" fillId="0" borderId="1" xfId="0" applyNumberFormat="1" applyBorder="1"/>
    <xf numFmtId="0" fontId="2" fillId="0" borderId="2" xfId="0" applyFont="1" applyBorder="1"/>
    <xf numFmtId="0" fontId="0" fillId="0" borderId="2" xfId="0" applyBorder="1" applyAlignment="1">
      <alignment horizontal="justify" vertical="top"/>
    </xf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2" fillId="0" borderId="3" xfId="0" applyFont="1" applyBorder="1"/>
    <xf numFmtId="0" fontId="0" fillId="0" borderId="3" xfId="0" applyBorder="1" applyAlignment="1">
      <alignment horizontal="justify" vertical="top"/>
    </xf>
    <xf numFmtId="16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justify" vertical="top"/>
    </xf>
    <xf numFmtId="164" fontId="0" fillId="0" borderId="7" xfId="0" applyNumberFormat="1" applyBorder="1"/>
    <xf numFmtId="0" fontId="2" fillId="0" borderId="11" xfId="0" applyFont="1" applyBorder="1" applyAlignment="1">
      <alignment horizontal="justify" vertical="top"/>
    </xf>
    <xf numFmtId="164" fontId="2" fillId="0" borderId="11" xfId="0" applyNumberFormat="1" applyFont="1" applyBorder="1"/>
    <xf numFmtId="0" fontId="2" fillId="0" borderId="4" xfId="0" applyFont="1" applyBorder="1"/>
    <xf numFmtId="0" fontId="0" fillId="0" borderId="4" xfId="0" applyBorder="1" applyAlignment="1">
      <alignment horizontal="justify" vertical="top"/>
    </xf>
    <xf numFmtId="164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19" xfId="0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4" xfId="0" applyNumberFormat="1" applyBorder="1"/>
    <xf numFmtId="165" fontId="0" fillId="0" borderId="3" xfId="0" applyNumberFormat="1" applyBorder="1"/>
    <xf numFmtId="164" fontId="0" fillId="0" borderId="0" xfId="0" applyNumberFormat="1"/>
    <xf numFmtId="0" fontId="0" fillId="0" borderId="1" xfId="0" applyFill="1" applyBorder="1"/>
    <xf numFmtId="0" fontId="0" fillId="0" borderId="28" xfId="0" applyBorder="1" applyAlignment="1">
      <alignment horizontal="center"/>
    </xf>
    <xf numFmtId="0" fontId="2" fillId="0" borderId="28" xfId="0" applyFont="1" applyBorder="1" applyAlignment="1">
      <alignment horizontal="justify" vertical="center"/>
    </xf>
    <xf numFmtId="0" fontId="2" fillId="0" borderId="28" xfId="0" applyFont="1" applyBorder="1" applyAlignment="1">
      <alignment horizontal="justify" vertical="top"/>
    </xf>
    <xf numFmtId="0" fontId="2" fillId="0" borderId="28" xfId="0" applyFont="1" applyBorder="1"/>
    <xf numFmtId="0" fontId="2" fillId="0" borderId="28" xfId="0" applyFont="1" applyFill="1" applyBorder="1"/>
    <xf numFmtId="166" fontId="0" fillId="0" borderId="16" xfId="0" applyNumberFormat="1" applyBorder="1"/>
    <xf numFmtId="166" fontId="0" fillId="0" borderId="9" xfId="0" applyNumberFormat="1" applyBorder="1"/>
    <xf numFmtId="0" fontId="0" fillId="0" borderId="16" xfId="0" applyBorder="1"/>
    <xf numFmtId="0" fontId="0" fillId="0" borderId="17" xfId="0" applyBorder="1"/>
    <xf numFmtId="0" fontId="0" fillId="0" borderId="11" xfId="0" applyBorder="1"/>
    <xf numFmtId="166" fontId="2" fillId="0" borderId="9" xfId="0" applyNumberFormat="1" applyFont="1" applyBorder="1"/>
    <xf numFmtId="9" fontId="0" fillId="0" borderId="1" xfId="1" applyFont="1" applyBorder="1"/>
    <xf numFmtId="166" fontId="2" fillId="0" borderId="12" xfId="0" applyNumberFormat="1" applyFont="1" applyBorder="1"/>
    <xf numFmtId="164" fontId="0" fillId="0" borderId="13" xfId="0" applyNumberFormat="1" applyBorder="1"/>
    <xf numFmtId="164" fontId="2" fillId="0" borderId="14" xfId="0" applyNumberFormat="1" applyFont="1" applyBorder="1"/>
    <xf numFmtId="164" fontId="0" fillId="0" borderId="20" xfId="0" applyNumberFormat="1" applyBorder="1"/>
    <xf numFmtId="164" fontId="0" fillId="0" borderId="21" xfId="0" applyNumberFormat="1" applyBorder="1"/>
    <xf numFmtId="164" fontId="2" fillId="0" borderId="22" xfId="0" applyNumberFormat="1" applyFont="1" applyBorder="1"/>
    <xf numFmtId="166" fontId="0" fillId="0" borderId="0" xfId="0" applyNumberFormat="1" applyBorder="1"/>
    <xf numFmtId="4" fontId="0" fillId="0" borderId="29" xfId="0" applyNumberFormat="1" applyBorder="1"/>
    <xf numFmtId="166" fontId="0" fillId="0" borderId="28" xfId="0" applyNumberFormat="1" applyBorder="1"/>
    <xf numFmtId="166" fontId="0" fillId="0" borderId="28" xfId="0" applyNumberFormat="1" applyFill="1" applyBorder="1"/>
    <xf numFmtId="166" fontId="2" fillId="0" borderId="28" xfId="0" applyNumberFormat="1" applyFont="1" applyBorder="1"/>
    <xf numFmtId="166" fontId="2" fillId="0" borderId="31" xfId="0" applyNumberFormat="1" applyFont="1" applyBorder="1"/>
    <xf numFmtId="4" fontId="0" fillId="0" borderId="1" xfId="0" applyNumberFormat="1" applyBorder="1"/>
    <xf numFmtId="4" fontId="0" fillId="0" borderId="1" xfId="0" applyNumberFormat="1" applyFill="1" applyBorder="1"/>
    <xf numFmtId="4" fontId="2" fillId="0" borderId="1" xfId="0" applyNumberFormat="1" applyFont="1" applyBorder="1"/>
    <xf numFmtId="166" fontId="0" fillId="0" borderId="36" xfId="0" applyNumberFormat="1" applyBorder="1"/>
    <xf numFmtId="166" fontId="0" fillId="0" borderId="37" xfId="0" applyNumberFormat="1" applyBorder="1"/>
    <xf numFmtId="166" fontId="0" fillId="0" borderId="16" xfId="0" applyNumberFormat="1" applyFill="1" applyBorder="1"/>
    <xf numFmtId="166" fontId="2" fillId="0" borderId="16" xfId="0" applyNumberFormat="1" applyFont="1" applyBorder="1"/>
    <xf numFmtId="166" fontId="2" fillId="0" borderId="17" xfId="0" applyNumberFormat="1" applyFont="1" applyBorder="1"/>
    <xf numFmtId="166" fontId="2" fillId="0" borderId="11" xfId="0" applyNumberFormat="1" applyFont="1" applyBorder="1"/>
    <xf numFmtId="0" fontId="0" fillId="0" borderId="30" xfId="0" applyNumberFormat="1" applyBorder="1"/>
    <xf numFmtId="0" fontId="0" fillId="0" borderId="1" xfId="0" applyNumberFormat="1" applyBorder="1"/>
    <xf numFmtId="0" fontId="2" fillId="0" borderId="1" xfId="0" applyNumberFormat="1" applyFont="1" applyBorder="1"/>
    <xf numFmtId="0" fontId="2" fillId="0" borderId="11" xfId="0" applyNumberFormat="1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0" fillId="0" borderId="40" xfId="0" applyBorder="1"/>
    <xf numFmtId="166" fontId="0" fillId="0" borderId="40" xfId="0" applyNumberFormat="1" applyBorder="1"/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2" fillId="0" borderId="42" xfId="0" applyFont="1" applyBorder="1" applyAlignment="1">
      <alignment horizontal="justify" vertical="top"/>
    </xf>
    <xf numFmtId="0" fontId="2" fillId="0" borderId="18" xfId="0" applyFont="1" applyBorder="1"/>
    <xf numFmtId="166" fontId="2" fillId="0" borderId="18" xfId="0" applyNumberFormat="1" applyFont="1" applyBorder="1"/>
    <xf numFmtId="0" fontId="0" fillId="0" borderId="18" xfId="0" applyBorder="1"/>
    <xf numFmtId="0" fontId="2" fillId="0" borderId="43" xfId="0" applyFont="1" applyBorder="1"/>
    <xf numFmtId="0" fontId="0" fillId="0" borderId="44" xfId="0" applyBorder="1"/>
    <xf numFmtId="166" fontId="0" fillId="0" borderId="44" xfId="0" applyNumberFormat="1" applyBorder="1"/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19" xfId="0" applyNumberFormat="1" applyBorder="1"/>
    <xf numFmtId="0" fontId="2" fillId="0" borderId="0" xfId="0" applyFont="1" applyFill="1" applyBorder="1"/>
    <xf numFmtId="0" fontId="0" fillId="0" borderId="44" xfId="0" applyBorder="1" applyAlignment="1">
      <alignment horizontal="center"/>
    </xf>
    <xf numFmtId="166" fontId="0" fillId="0" borderId="45" xfId="0" applyNumberFormat="1" applyBorder="1"/>
    <xf numFmtId="0" fontId="2" fillId="0" borderId="0" xfId="0" applyFont="1" applyBorder="1"/>
    <xf numFmtId="16" fontId="0" fillId="0" borderId="0" xfId="0" quotePrefix="1" applyNumberFormat="1" applyBorder="1"/>
    <xf numFmtId="0" fontId="0" fillId="0" borderId="0" xfId="0" quotePrefix="1" applyBorder="1"/>
    <xf numFmtId="0" fontId="0" fillId="0" borderId="0" xfId="0" applyBorder="1" applyAlignment="1">
      <alignment horizontal="left"/>
    </xf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0" fontId="0" fillId="0" borderId="41" xfId="0" applyBorder="1"/>
    <xf numFmtId="166" fontId="0" fillId="0" borderId="49" xfId="0" applyNumberFormat="1" applyBorder="1"/>
    <xf numFmtId="166" fontId="0" fillId="0" borderId="27" xfId="0" applyNumberFormat="1" applyBorder="1"/>
    <xf numFmtId="0" fontId="0" fillId="0" borderId="42" xfId="0" applyBorder="1"/>
    <xf numFmtId="166" fontId="2" fillId="0" borderId="19" xfId="0" applyNumberFormat="1" applyFont="1" applyBorder="1"/>
    <xf numFmtId="166" fontId="2" fillId="0" borderId="47" xfId="0" applyNumberFormat="1" applyFont="1" applyBorder="1"/>
    <xf numFmtId="166" fontId="0" fillId="0" borderId="48" xfId="0" applyNumberFormat="1" applyBorder="1"/>
    <xf numFmtId="166" fontId="0" fillId="0" borderId="48" xfId="0" quotePrefix="1" applyNumberFormat="1" applyBorder="1"/>
    <xf numFmtId="0" fontId="2" fillId="0" borderId="39" xfId="0" applyFont="1" applyBorder="1"/>
    <xf numFmtId="0" fontId="0" fillId="0" borderId="40" xfId="0" quotePrefix="1" applyBorder="1"/>
    <xf numFmtId="0" fontId="2" fillId="0" borderId="42" xfId="0" applyFont="1" applyBorder="1"/>
    <xf numFmtId="166" fontId="0" fillId="0" borderId="26" xfId="0" applyNumberFormat="1" applyBorder="1"/>
    <xf numFmtId="166" fontId="0" fillId="0" borderId="47" xfId="0" quotePrefix="1" applyNumberFormat="1" applyBorder="1"/>
    <xf numFmtId="0" fontId="0" fillId="0" borderId="39" xfId="0" quotePrefix="1" applyBorder="1"/>
    <xf numFmtId="4" fontId="0" fillId="0" borderId="40" xfId="0" applyNumberFormat="1" applyBorder="1"/>
    <xf numFmtId="2" fontId="0" fillId="0" borderId="0" xfId="0" applyNumberFormat="1"/>
    <xf numFmtId="2" fontId="0" fillId="0" borderId="19" xfId="0" applyNumberFormat="1" applyBorder="1"/>
    <xf numFmtId="0" fontId="0" fillId="0" borderId="39" xfId="0" applyBorder="1"/>
    <xf numFmtId="2" fontId="0" fillId="0" borderId="40" xfId="0" applyNumberFormat="1" applyBorder="1"/>
    <xf numFmtId="2" fontId="0" fillId="0" borderId="26" xfId="0" applyNumberFormat="1" applyBorder="1"/>
    <xf numFmtId="0" fontId="0" fillId="0" borderId="43" xfId="0" applyBorder="1"/>
    <xf numFmtId="2" fontId="0" fillId="0" borderId="45" xfId="0" applyNumberFormat="1" applyBorder="1"/>
    <xf numFmtId="4" fontId="0" fillId="0" borderId="44" xfId="0" applyNumberFormat="1" applyBorder="1"/>
    <xf numFmtId="0" fontId="0" fillId="0" borderId="43" xfId="0" applyFill="1" applyBorder="1"/>
    <xf numFmtId="2" fontId="0" fillId="0" borderId="44" xfId="0" applyNumberForma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top"/>
    </xf>
    <xf numFmtId="2" fontId="0" fillId="0" borderId="1" xfId="0" applyNumberFormat="1" applyBorder="1"/>
    <xf numFmtId="10" fontId="0" fillId="0" borderId="1" xfId="1" applyNumberFormat="1" applyFont="1" applyBorder="1"/>
    <xf numFmtId="0" fontId="0" fillId="0" borderId="0" xfId="0" applyFont="1" applyFill="1" applyBorder="1"/>
    <xf numFmtId="0" fontId="2" fillId="0" borderId="2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165" fontId="0" fillId="0" borderId="23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9" fontId="0" fillId="0" borderId="23" xfId="1" applyFont="1" applyBorder="1" applyAlignment="1">
      <alignment horizontal="center"/>
    </xf>
    <xf numFmtId="9" fontId="0" fillId="0" borderId="24" xfId="1" applyFont="1" applyBorder="1" applyAlignment="1">
      <alignment horizontal="center"/>
    </xf>
    <xf numFmtId="9" fontId="0" fillId="0" borderId="25" xfId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9" xfId="0" applyFont="1" applyBorder="1" applyAlignment="1">
      <alignment horizontal="justify" vertical="top"/>
    </xf>
    <xf numFmtId="0" fontId="2" fillId="0" borderId="41" xfId="0" applyFont="1" applyBorder="1" applyAlignment="1">
      <alignment horizontal="justify" vertical="top"/>
    </xf>
    <xf numFmtId="0" fontId="2" fillId="0" borderId="3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37" zoomScale="150" zoomScaleNormal="150" workbookViewId="0">
      <selection activeCell="I30" sqref="I30"/>
    </sheetView>
  </sheetViews>
  <sheetFormatPr baseColWidth="10" defaultColWidth="9.140625" defaultRowHeight="15" x14ac:dyDescent="0.25"/>
  <cols>
    <col min="1" max="1" width="20.85546875" customWidth="1"/>
    <col min="2" max="2" width="11.5703125" customWidth="1"/>
    <col min="3" max="4" width="12.140625" customWidth="1"/>
    <col min="5" max="5" width="11.5703125" customWidth="1"/>
    <col min="6" max="6" width="12.140625" customWidth="1"/>
    <col min="7" max="7" width="17" customWidth="1"/>
    <col min="8" max="8" width="12.28515625" customWidth="1"/>
    <col min="9" max="9" width="12.7109375" customWidth="1"/>
    <col min="10" max="10" width="14.42578125" customWidth="1"/>
    <col min="11" max="11" width="17.7109375" customWidth="1"/>
  </cols>
  <sheetData>
    <row r="2" spans="1:11" x14ac:dyDescent="0.25">
      <c r="A2" t="s">
        <v>2</v>
      </c>
    </row>
    <row r="4" spans="1:11" x14ac:dyDescent="0.25">
      <c r="A4" t="s">
        <v>0</v>
      </c>
    </row>
    <row r="6" spans="1:11" x14ac:dyDescent="0.25">
      <c r="A6" t="s">
        <v>1</v>
      </c>
    </row>
    <row r="8" spans="1:11" x14ac:dyDescent="0.25">
      <c r="A8" t="s">
        <v>2</v>
      </c>
    </row>
    <row r="9" spans="1:11" x14ac:dyDescent="0.25">
      <c r="A9" s="2" t="s">
        <v>3</v>
      </c>
      <c r="B9" s="2" t="s">
        <v>4</v>
      </c>
      <c r="C9" s="2"/>
      <c r="D9" s="2"/>
      <c r="E9" s="2"/>
      <c r="F9" s="2"/>
      <c r="G9" s="2" t="s">
        <v>5</v>
      </c>
      <c r="H9" s="2"/>
      <c r="I9" s="2"/>
      <c r="J9" s="2" t="s">
        <v>6</v>
      </c>
      <c r="K9" s="2" t="s">
        <v>7</v>
      </c>
    </row>
    <row r="10" spans="1:11" ht="30" x14ac:dyDescent="0.25">
      <c r="A10" s="5" t="s">
        <v>8</v>
      </c>
      <c r="B10" s="1" t="s">
        <v>16</v>
      </c>
      <c r="C10" s="1"/>
      <c r="D10" s="1"/>
      <c r="E10" s="1"/>
      <c r="F10" s="1"/>
      <c r="G10" s="7">
        <v>59832</v>
      </c>
      <c r="H10" s="7"/>
      <c r="I10" s="7"/>
      <c r="J10" s="4">
        <v>108</v>
      </c>
      <c r="K10" s="25">
        <f>G10/J10</f>
        <v>554</v>
      </c>
    </row>
    <row r="11" spans="1:11" ht="45" x14ac:dyDescent="0.25">
      <c r="A11" s="6" t="s">
        <v>9</v>
      </c>
      <c r="B11" s="3" t="s">
        <v>17</v>
      </c>
      <c r="C11" s="3"/>
      <c r="D11" s="3"/>
      <c r="E11" s="3"/>
      <c r="F11" s="3"/>
      <c r="G11" s="7">
        <v>34782</v>
      </c>
      <c r="H11" s="7"/>
      <c r="I11" s="7"/>
      <c r="J11" s="4">
        <v>34</v>
      </c>
      <c r="K11" s="25">
        <f>G11/J11</f>
        <v>1023</v>
      </c>
    </row>
    <row r="12" spans="1:11" ht="30.75" thickBot="1" x14ac:dyDescent="0.3">
      <c r="A12" s="8" t="s">
        <v>10</v>
      </c>
      <c r="B12" s="9" t="s">
        <v>18</v>
      </c>
      <c r="C12" s="9"/>
      <c r="D12" s="9"/>
      <c r="E12" s="9"/>
      <c r="F12" s="9"/>
      <c r="G12" s="10">
        <v>11475</v>
      </c>
      <c r="H12" s="10"/>
      <c r="I12" s="10"/>
      <c r="J12" s="11">
        <v>85</v>
      </c>
      <c r="K12" s="26">
        <f>G12/J12</f>
        <v>135</v>
      </c>
    </row>
    <row r="13" spans="1:11" ht="30" x14ac:dyDescent="0.25">
      <c r="A13" s="134" t="s">
        <v>11</v>
      </c>
      <c r="B13" s="16" t="s">
        <v>19</v>
      </c>
      <c r="C13" s="16"/>
      <c r="D13" s="16"/>
      <c r="E13" s="16"/>
      <c r="F13" s="16"/>
      <c r="G13" s="17">
        <v>382401</v>
      </c>
      <c r="H13" s="44"/>
      <c r="I13" s="44"/>
      <c r="J13" s="146">
        <v>3</v>
      </c>
      <c r="K13" s="128">
        <f>G15/J13</f>
        <v>146047</v>
      </c>
    </row>
    <row r="14" spans="1:11" x14ac:dyDescent="0.25">
      <c r="A14" s="135"/>
      <c r="B14" s="3" t="s">
        <v>20</v>
      </c>
      <c r="C14" s="3"/>
      <c r="D14" s="3"/>
      <c r="E14" s="3"/>
      <c r="F14" s="3"/>
      <c r="G14" s="7">
        <v>55740</v>
      </c>
      <c r="H14" s="22"/>
      <c r="I14" s="22"/>
      <c r="J14" s="147"/>
      <c r="K14" s="129"/>
    </row>
    <row r="15" spans="1:11" ht="15.75" thickBot="1" x14ac:dyDescent="0.3">
      <c r="A15" s="136"/>
      <c r="B15" s="18" t="s">
        <v>29</v>
      </c>
      <c r="C15" s="18"/>
      <c r="D15" s="18"/>
      <c r="E15" s="18"/>
      <c r="F15" s="18"/>
      <c r="G15" s="19">
        <f>SUM(G13:G14)</f>
        <v>438141</v>
      </c>
      <c r="H15" s="45"/>
      <c r="I15" s="45"/>
      <c r="J15" s="148"/>
      <c r="K15" s="130"/>
    </row>
    <row r="16" spans="1:11" ht="30.75" thickBot="1" x14ac:dyDescent="0.3">
      <c r="A16" s="20" t="s">
        <v>12</v>
      </c>
      <c r="B16" s="21" t="s">
        <v>21</v>
      </c>
      <c r="C16" s="21"/>
      <c r="D16" s="21"/>
      <c r="E16" s="21"/>
      <c r="F16" s="21"/>
      <c r="G16" s="22">
        <v>285312</v>
      </c>
      <c r="H16" s="22"/>
      <c r="I16" s="22"/>
      <c r="J16" s="23">
        <v>6</v>
      </c>
      <c r="K16" s="27">
        <f>G16/J16</f>
        <v>47552</v>
      </c>
    </row>
    <row r="17" spans="1:11" ht="45" x14ac:dyDescent="0.25">
      <c r="A17" s="134" t="s">
        <v>13</v>
      </c>
      <c r="B17" s="16" t="s">
        <v>22</v>
      </c>
      <c r="C17" s="16"/>
      <c r="D17" s="16"/>
      <c r="E17" s="16"/>
      <c r="F17" s="16"/>
      <c r="G17" s="17">
        <v>22188</v>
      </c>
      <c r="H17" s="44"/>
      <c r="I17" s="44"/>
      <c r="J17" s="146">
        <v>86</v>
      </c>
      <c r="K17" s="128">
        <f>G20/J17</f>
        <v>2706</v>
      </c>
    </row>
    <row r="18" spans="1:11" ht="30" x14ac:dyDescent="0.25">
      <c r="A18" s="135"/>
      <c r="B18" s="3" t="s">
        <v>23</v>
      </c>
      <c r="C18" s="3"/>
      <c r="D18" s="3"/>
      <c r="E18" s="3"/>
      <c r="F18" s="3"/>
      <c r="G18" s="7">
        <v>137772</v>
      </c>
      <c r="H18" s="22"/>
      <c r="I18" s="22"/>
      <c r="J18" s="147"/>
      <c r="K18" s="129"/>
    </row>
    <row r="19" spans="1:11" ht="30" x14ac:dyDescent="0.25">
      <c r="A19" s="135"/>
      <c r="B19" s="3" t="s">
        <v>24</v>
      </c>
      <c r="C19" s="3"/>
      <c r="D19" s="3"/>
      <c r="E19" s="3"/>
      <c r="F19" s="3"/>
      <c r="G19" s="7">
        <v>72756</v>
      </c>
      <c r="H19" s="22"/>
      <c r="I19" s="22"/>
      <c r="J19" s="147"/>
      <c r="K19" s="129"/>
    </row>
    <row r="20" spans="1:11" ht="15.75" thickBot="1" x14ac:dyDescent="0.3">
      <c r="A20" s="136"/>
      <c r="B20" s="18" t="s">
        <v>29</v>
      </c>
      <c r="C20" s="18"/>
      <c r="D20" s="18"/>
      <c r="E20" s="18"/>
      <c r="F20" s="18"/>
      <c r="G20" s="19">
        <f>SUM(G17:G19)</f>
        <v>232716</v>
      </c>
      <c r="H20" s="45"/>
      <c r="I20" s="45"/>
      <c r="J20" s="148"/>
      <c r="K20" s="130"/>
    </row>
    <row r="21" spans="1:11" ht="30" x14ac:dyDescent="0.25">
      <c r="A21" s="12" t="s">
        <v>25</v>
      </c>
      <c r="B21" s="13" t="s">
        <v>26</v>
      </c>
      <c r="C21" s="13"/>
      <c r="D21" s="13"/>
      <c r="E21" s="13"/>
      <c r="F21" s="13"/>
      <c r="G21" s="14">
        <v>87255</v>
      </c>
      <c r="H21" s="14"/>
      <c r="I21" s="14"/>
      <c r="J21" s="15">
        <v>41550</v>
      </c>
      <c r="K21" s="28">
        <f>G21/J21</f>
        <v>2.1</v>
      </c>
    </row>
    <row r="22" spans="1:11" ht="15.75" thickBot="1" x14ac:dyDescent="0.3">
      <c r="A22" s="8" t="s">
        <v>14</v>
      </c>
      <c r="B22" s="9" t="s">
        <v>27</v>
      </c>
      <c r="C22" s="9"/>
      <c r="D22" s="9"/>
      <c r="E22" s="9"/>
      <c r="F22" s="9"/>
      <c r="G22" s="10">
        <v>100274</v>
      </c>
      <c r="H22" s="10"/>
      <c r="I22" s="10"/>
      <c r="J22" s="11">
        <v>362</v>
      </c>
      <c r="K22" s="26">
        <f>G22/J22</f>
        <v>277</v>
      </c>
    </row>
    <row r="23" spans="1:11" ht="30" x14ac:dyDescent="0.25">
      <c r="A23" s="137" t="s">
        <v>15</v>
      </c>
      <c r="B23" s="16" t="s">
        <v>28</v>
      </c>
      <c r="C23" s="16"/>
      <c r="D23" s="16"/>
      <c r="E23" s="16"/>
      <c r="F23" s="16"/>
      <c r="G23" s="17">
        <v>72976</v>
      </c>
      <c r="H23" s="46"/>
      <c r="I23" s="46"/>
      <c r="J23" s="149">
        <v>1249787</v>
      </c>
      <c r="K23" s="131">
        <f>G25/J23</f>
        <v>0.15000956162930162</v>
      </c>
    </row>
    <row r="24" spans="1:11" x14ac:dyDescent="0.25">
      <c r="A24" s="138"/>
      <c r="B24" s="1" t="s">
        <v>30</v>
      </c>
      <c r="C24" s="1"/>
      <c r="D24" s="1"/>
      <c r="E24" s="1"/>
      <c r="F24" s="1"/>
      <c r="G24" s="7">
        <v>114504</v>
      </c>
      <c r="H24" s="47"/>
      <c r="I24" s="47"/>
      <c r="J24" s="150"/>
      <c r="K24" s="132"/>
    </row>
    <row r="25" spans="1:11" ht="15.75" thickBot="1" x14ac:dyDescent="0.3">
      <c r="A25" s="139"/>
      <c r="B25" s="18" t="s">
        <v>29</v>
      </c>
      <c r="C25" s="18"/>
      <c r="D25" s="18"/>
      <c r="E25" s="18"/>
      <c r="F25" s="18"/>
      <c r="G25" s="19">
        <f>SUM(G23:G24)</f>
        <v>187480</v>
      </c>
      <c r="H25" s="48"/>
      <c r="I25" s="48"/>
      <c r="J25" s="151"/>
      <c r="K25" s="133"/>
    </row>
    <row r="26" spans="1:11" x14ac:dyDescent="0.25">
      <c r="G26" s="29">
        <f>SUM(G10+G11+G12+G15+G16+G20+G21+G22)</f>
        <v>1249787</v>
      </c>
      <c r="H26" s="29"/>
      <c r="I26" s="29"/>
    </row>
    <row r="28" spans="1:11" ht="15.75" thickBot="1" x14ac:dyDescent="0.3">
      <c r="A28" t="s">
        <v>31</v>
      </c>
    </row>
    <row r="29" spans="1:11" x14ac:dyDescent="0.25">
      <c r="A29" s="31" t="s">
        <v>32</v>
      </c>
      <c r="B29" s="140" t="s">
        <v>33</v>
      </c>
      <c r="C29" s="141"/>
      <c r="D29" s="142"/>
      <c r="E29" s="143" t="s">
        <v>34</v>
      </c>
      <c r="F29" s="144"/>
      <c r="G29" s="145"/>
      <c r="H29" s="143" t="s">
        <v>35</v>
      </c>
      <c r="I29" s="144"/>
      <c r="J29" s="145"/>
    </row>
    <row r="30" spans="1:11" ht="30" x14ac:dyDescent="0.25">
      <c r="A30" s="32" t="s">
        <v>8</v>
      </c>
      <c r="B30" s="36">
        <v>554</v>
      </c>
      <c r="C30" s="1">
        <v>25</v>
      </c>
      <c r="D30" s="51">
        <f t="shared" ref="D30:D37" si="0">B30*C30</f>
        <v>13850</v>
      </c>
      <c r="E30" s="58">
        <v>554</v>
      </c>
      <c r="F30" s="50">
        <v>38</v>
      </c>
      <c r="G30" s="59">
        <f t="shared" ref="G30:G37" si="1">E30*F30</f>
        <v>21052</v>
      </c>
      <c r="H30" s="58">
        <v>554</v>
      </c>
      <c r="I30" s="64">
        <v>45</v>
      </c>
      <c r="J30" s="37">
        <f t="shared" ref="J30:J37" si="2">H30*I30</f>
        <v>24930</v>
      </c>
    </row>
    <row r="31" spans="1:11" ht="30" x14ac:dyDescent="0.25">
      <c r="A31" s="33" t="s">
        <v>9</v>
      </c>
      <c r="B31" s="36">
        <f>K11</f>
        <v>1023</v>
      </c>
      <c r="C31" s="1">
        <v>12</v>
      </c>
      <c r="D31" s="51">
        <f t="shared" si="0"/>
        <v>12276</v>
      </c>
      <c r="E31" s="36">
        <v>1023</v>
      </c>
      <c r="F31" s="55">
        <v>7</v>
      </c>
      <c r="G31" s="37">
        <f t="shared" si="1"/>
        <v>7161</v>
      </c>
      <c r="H31" s="36">
        <v>1023</v>
      </c>
      <c r="I31" s="64">
        <v>15</v>
      </c>
      <c r="J31" s="59">
        <f t="shared" si="2"/>
        <v>15345</v>
      </c>
    </row>
    <row r="32" spans="1:11" x14ac:dyDescent="0.25">
      <c r="A32" s="34" t="s">
        <v>10</v>
      </c>
      <c r="B32" s="36">
        <f>K12</f>
        <v>135</v>
      </c>
      <c r="C32" s="1">
        <v>20</v>
      </c>
      <c r="D32" s="51">
        <f t="shared" si="0"/>
        <v>2700</v>
      </c>
      <c r="E32" s="36">
        <v>135</v>
      </c>
      <c r="F32" s="55">
        <v>30</v>
      </c>
      <c r="G32" s="37">
        <f t="shared" si="1"/>
        <v>4050</v>
      </c>
      <c r="H32" s="36">
        <v>135</v>
      </c>
      <c r="I32" s="64">
        <v>35</v>
      </c>
      <c r="J32" s="59">
        <f t="shared" si="2"/>
        <v>4725</v>
      </c>
    </row>
    <row r="33" spans="1:10" x14ac:dyDescent="0.25">
      <c r="A33" s="34" t="s">
        <v>11</v>
      </c>
      <c r="B33" s="36">
        <f>K13</f>
        <v>146047</v>
      </c>
      <c r="C33" s="1">
        <v>1</v>
      </c>
      <c r="D33" s="51">
        <f t="shared" si="0"/>
        <v>146047</v>
      </c>
      <c r="E33" s="36">
        <v>146047</v>
      </c>
      <c r="F33" s="55">
        <v>1</v>
      </c>
      <c r="G33" s="37">
        <f t="shared" si="1"/>
        <v>146047</v>
      </c>
      <c r="H33" s="36">
        <v>146047</v>
      </c>
      <c r="I33" s="64">
        <v>1</v>
      </c>
      <c r="J33" s="59">
        <f t="shared" si="2"/>
        <v>146047</v>
      </c>
    </row>
    <row r="34" spans="1:10" x14ac:dyDescent="0.25">
      <c r="A34" s="34" t="s">
        <v>12</v>
      </c>
      <c r="B34" s="36">
        <f>K16</f>
        <v>47552</v>
      </c>
      <c r="C34" s="30">
        <v>1</v>
      </c>
      <c r="D34" s="51">
        <f t="shared" si="0"/>
        <v>47552</v>
      </c>
      <c r="E34" s="36">
        <v>47552</v>
      </c>
      <c r="F34" s="55">
        <v>0</v>
      </c>
      <c r="G34" s="37">
        <f t="shared" si="1"/>
        <v>0</v>
      </c>
      <c r="H34" s="36">
        <v>47552</v>
      </c>
      <c r="I34" s="65">
        <v>5</v>
      </c>
      <c r="J34" s="37">
        <f t="shared" si="2"/>
        <v>237760</v>
      </c>
    </row>
    <row r="35" spans="1:10" x14ac:dyDescent="0.25">
      <c r="A35" s="34" t="s">
        <v>13</v>
      </c>
      <c r="B35" s="36">
        <f>K17</f>
        <v>2706</v>
      </c>
      <c r="C35" s="30">
        <v>26</v>
      </c>
      <c r="D35" s="51">
        <f t="shared" si="0"/>
        <v>70356</v>
      </c>
      <c r="E35" s="36">
        <v>2706</v>
      </c>
      <c r="F35" s="55">
        <v>25</v>
      </c>
      <c r="G35" s="37">
        <f t="shared" si="1"/>
        <v>67650</v>
      </c>
      <c r="H35" s="36">
        <v>2706</v>
      </c>
      <c r="I35" s="65">
        <v>35</v>
      </c>
      <c r="J35" s="37">
        <f t="shared" si="2"/>
        <v>94710</v>
      </c>
    </row>
    <row r="36" spans="1:10" x14ac:dyDescent="0.25">
      <c r="A36" s="34" t="s">
        <v>25</v>
      </c>
      <c r="B36" s="36">
        <f>K21</f>
        <v>2.1</v>
      </c>
      <c r="C36" s="30">
        <v>16400</v>
      </c>
      <c r="D36" s="51">
        <f t="shared" si="0"/>
        <v>34440</v>
      </c>
      <c r="E36" s="36">
        <v>2.1</v>
      </c>
      <c r="F36" s="55">
        <v>19200</v>
      </c>
      <c r="G36" s="37">
        <f t="shared" si="1"/>
        <v>40320</v>
      </c>
      <c r="H36" s="36">
        <v>2.1</v>
      </c>
      <c r="I36" s="65">
        <v>5950</v>
      </c>
      <c r="J36" s="37">
        <f t="shared" si="2"/>
        <v>12495</v>
      </c>
    </row>
    <row r="37" spans="1:10" x14ac:dyDescent="0.25">
      <c r="A37" s="34" t="s">
        <v>14</v>
      </c>
      <c r="B37" s="36">
        <f>K22</f>
        <v>277</v>
      </c>
      <c r="C37" s="30">
        <v>135</v>
      </c>
      <c r="D37" s="52">
        <f t="shared" si="0"/>
        <v>37395</v>
      </c>
      <c r="E37" s="60">
        <v>277</v>
      </c>
      <c r="F37" s="56">
        <v>187</v>
      </c>
      <c r="G37" s="37">
        <f t="shared" si="1"/>
        <v>51799</v>
      </c>
      <c r="H37" s="60">
        <v>277</v>
      </c>
      <c r="I37" s="65">
        <v>40</v>
      </c>
      <c r="J37" s="37">
        <f t="shared" si="2"/>
        <v>11080</v>
      </c>
    </row>
    <row r="38" spans="1:10" x14ac:dyDescent="0.25">
      <c r="A38" s="34" t="s">
        <v>36</v>
      </c>
      <c r="B38" s="36"/>
      <c r="C38" s="1"/>
      <c r="D38" s="53">
        <f>SUM(D30:D37)</f>
        <v>364616</v>
      </c>
      <c r="E38" s="61"/>
      <c r="F38" s="57"/>
      <c r="G38" s="41">
        <f>SUM(G30:G37)</f>
        <v>338079</v>
      </c>
      <c r="H38" s="61"/>
      <c r="I38" s="66"/>
      <c r="J38" s="41">
        <f>SUM(J30:J37)</f>
        <v>547092</v>
      </c>
    </row>
    <row r="39" spans="1:10" x14ac:dyDescent="0.25">
      <c r="A39" s="34" t="s">
        <v>15</v>
      </c>
      <c r="B39" s="36">
        <f>D38</f>
        <v>364616</v>
      </c>
      <c r="C39" s="42">
        <v>0.15</v>
      </c>
      <c r="D39" s="51">
        <f>B39*C39</f>
        <v>54692.4</v>
      </c>
      <c r="E39" s="36">
        <f>G38</f>
        <v>338079</v>
      </c>
      <c r="F39" s="42">
        <v>0.15</v>
      </c>
      <c r="G39" s="37">
        <f>E39*F39</f>
        <v>50711.85</v>
      </c>
      <c r="H39" s="36">
        <f>J38</f>
        <v>547092</v>
      </c>
      <c r="I39" s="42">
        <v>0.15</v>
      </c>
      <c r="J39" s="37">
        <f>H39*I39</f>
        <v>82063.8</v>
      </c>
    </row>
    <row r="40" spans="1:10" x14ac:dyDescent="0.25">
      <c r="A40" s="35" t="s">
        <v>37</v>
      </c>
      <c r="B40" s="38"/>
      <c r="C40" s="1"/>
      <c r="D40" s="53">
        <f>SUM(D38:D39)</f>
        <v>419308.4</v>
      </c>
      <c r="E40" s="61"/>
      <c r="F40" s="57"/>
      <c r="G40" s="41">
        <f>SUM(G38:G39)</f>
        <v>388790.85</v>
      </c>
      <c r="H40" s="61"/>
      <c r="I40" s="66"/>
      <c r="J40" s="41">
        <f>J38+J39</f>
        <v>629155.80000000005</v>
      </c>
    </row>
    <row r="41" spans="1:10" ht="15.75" thickBot="1" x14ac:dyDescent="0.3">
      <c r="A41" s="35" t="s">
        <v>38</v>
      </c>
      <c r="B41" s="39"/>
      <c r="C41" s="40"/>
      <c r="D41" s="54">
        <f>D40/C36</f>
        <v>25.56758536585366</v>
      </c>
      <c r="E41" s="62"/>
      <c r="F41" s="63"/>
      <c r="G41" s="43">
        <f>G40/F36</f>
        <v>20.249523437499999</v>
      </c>
      <c r="H41" s="62"/>
      <c r="I41" s="67"/>
      <c r="J41" s="43">
        <f>J40/I36</f>
        <v>105.7404705882353</v>
      </c>
    </row>
  </sheetData>
  <mergeCells count="12">
    <mergeCell ref="B29:D29"/>
    <mergeCell ref="E29:G29"/>
    <mergeCell ref="H29:J29"/>
    <mergeCell ref="J13:J15"/>
    <mergeCell ref="J17:J20"/>
    <mergeCell ref="J23:J25"/>
    <mergeCell ref="K13:K15"/>
    <mergeCell ref="K17:K20"/>
    <mergeCell ref="K23:K25"/>
    <mergeCell ref="A13:A15"/>
    <mergeCell ref="A17:A20"/>
    <mergeCell ref="A23:A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58" zoomScale="220" zoomScaleNormal="220" workbookViewId="0">
      <selection activeCell="B43" sqref="B43"/>
    </sheetView>
  </sheetViews>
  <sheetFormatPr baseColWidth="10" defaultColWidth="9.140625" defaultRowHeight="15" x14ac:dyDescent="0.25"/>
  <cols>
    <col min="1" max="1" width="27" customWidth="1"/>
    <col min="2" max="2" width="23" customWidth="1"/>
    <col min="3" max="3" width="9.85546875" customWidth="1"/>
    <col min="4" max="4" width="13" customWidth="1"/>
    <col min="5" max="5" width="23" customWidth="1"/>
    <col min="6" max="6" width="11.85546875" customWidth="1"/>
    <col min="7" max="7" width="13.42578125" customWidth="1"/>
  </cols>
  <sheetData>
    <row r="1" spans="1:7" x14ac:dyDescent="0.25">
      <c r="A1" s="68" t="s">
        <v>40</v>
      </c>
    </row>
    <row r="2" spans="1:7" x14ac:dyDescent="0.25">
      <c r="A2" t="s">
        <v>39</v>
      </c>
    </row>
    <row r="3" spans="1:7" ht="30.75" thickBot="1" x14ac:dyDescent="0.3">
      <c r="A3" s="69" t="s">
        <v>3</v>
      </c>
      <c r="B3" s="154" t="s">
        <v>41</v>
      </c>
      <c r="C3" s="155"/>
      <c r="D3" s="155"/>
      <c r="E3" s="156"/>
      <c r="F3" s="126" t="s">
        <v>6</v>
      </c>
      <c r="G3" s="126" t="s">
        <v>42</v>
      </c>
    </row>
    <row r="4" spans="1:7" x14ac:dyDescent="0.25">
      <c r="A4" s="152" t="s">
        <v>43</v>
      </c>
      <c r="B4" s="70" t="s">
        <v>44</v>
      </c>
      <c r="C4" s="70"/>
      <c r="D4" s="70"/>
      <c r="E4" s="71">
        <v>18000</v>
      </c>
      <c r="F4" s="160">
        <v>7</v>
      </c>
      <c r="G4" s="72"/>
    </row>
    <row r="5" spans="1:7" x14ac:dyDescent="0.25">
      <c r="A5" s="153"/>
      <c r="B5" s="73" t="s">
        <v>45</v>
      </c>
      <c r="C5" s="73"/>
      <c r="D5" s="73"/>
      <c r="E5" s="49">
        <v>80000</v>
      </c>
      <c r="F5" s="161"/>
      <c r="G5" s="74"/>
    </row>
    <row r="6" spans="1:7" ht="15.75" thickBot="1" x14ac:dyDescent="0.3">
      <c r="A6" s="75"/>
      <c r="B6" s="76" t="s">
        <v>61</v>
      </c>
      <c r="C6" s="76"/>
      <c r="D6" s="76"/>
      <c r="E6" s="77">
        <f>SUM(E4:E5)</f>
        <v>98000</v>
      </c>
      <c r="F6" s="162"/>
      <c r="G6" s="85">
        <f>E6/F4</f>
        <v>14000</v>
      </c>
    </row>
    <row r="7" spans="1:7" ht="15.75" thickBot="1" x14ac:dyDescent="0.3">
      <c r="A7" s="79" t="s">
        <v>46</v>
      </c>
      <c r="B7" s="80" t="s">
        <v>47</v>
      </c>
      <c r="C7" s="80"/>
      <c r="D7" s="80"/>
      <c r="E7" s="81">
        <v>125000</v>
      </c>
      <c r="F7" s="87">
        <f>B60</f>
        <v>0</v>
      </c>
      <c r="G7" s="88" t="e">
        <f>E7/F7</f>
        <v>#DIV/0!</v>
      </c>
    </row>
    <row r="8" spans="1:7" ht="15.75" thickBot="1" x14ac:dyDescent="0.3">
      <c r="A8" s="79" t="s">
        <v>48</v>
      </c>
      <c r="B8" s="80" t="s">
        <v>49</v>
      </c>
      <c r="C8" s="80"/>
      <c r="D8" s="80"/>
      <c r="E8" s="81">
        <v>59500</v>
      </c>
      <c r="F8" s="87">
        <f>G57</f>
        <v>40.655999999999999</v>
      </c>
      <c r="G8" s="88">
        <f>E8/F8</f>
        <v>1463.4986225895318</v>
      </c>
    </row>
    <row r="9" spans="1:7" x14ac:dyDescent="0.25">
      <c r="A9" s="157" t="s">
        <v>50</v>
      </c>
      <c r="B9" s="70" t="s">
        <v>51</v>
      </c>
      <c r="C9" s="70"/>
      <c r="D9" s="70"/>
      <c r="E9" s="71">
        <v>25000</v>
      </c>
      <c r="F9" s="82"/>
      <c r="G9" s="72"/>
    </row>
    <row r="10" spans="1:7" x14ac:dyDescent="0.25">
      <c r="A10" s="158"/>
      <c r="B10" s="73" t="s">
        <v>52</v>
      </c>
      <c r="C10" s="73"/>
      <c r="D10" s="73"/>
      <c r="E10" s="49">
        <v>200000</v>
      </c>
      <c r="F10" s="83"/>
      <c r="G10" s="74"/>
    </row>
    <row r="11" spans="1:7" x14ac:dyDescent="0.25">
      <c r="A11" s="158"/>
      <c r="B11" s="73" t="s">
        <v>53</v>
      </c>
      <c r="C11" s="73"/>
      <c r="D11" s="73"/>
      <c r="E11" s="49">
        <v>25000</v>
      </c>
      <c r="F11" s="83"/>
      <c r="G11" s="74"/>
    </row>
    <row r="12" spans="1:7" ht="15.75" thickBot="1" x14ac:dyDescent="0.3">
      <c r="A12" s="159"/>
      <c r="B12" s="76" t="s">
        <v>61</v>
      </c>
      <c r="C12" s="76"/>
      <c r="D12" s="76"/>
      <c r="E12" s="77">
        <f>SUM(E9:E11)</f>
        <v>250000</v>
      </c>
      <c r="F12" s="84">
        <f>30+30+65</f>
        <v>125</v>
      </c>
      <c r="G12" s="85">
        <f>E12/F12</f>
        <v>2000</v>
      </c>
    </row>
    <row r="13" spans="1:7" ht="15.75" thickBot="1" x14ac:dyDescent="0.3">
      <c r="A13" s="79" t="s">
        <v>54</v>
      </c>
      <c r="B13" s="80" t="s">
        <v>55</v>
      </c>
      <c r="C13" s="80"/>
      <c r="D13" s="80"/>
      <c r="E13" s="81">
        <v>300000</v>
      </c>
      <c r="F13" s="87">
        <v>3</v>
      </c>
      <c r="G13" s="88">
        <f>E13/F13</f>
        <v>100000</v>
      </c>
    </row>
    <row r="14" spans="1:7" ht="15.75" thickBot="1" x14ac:dyDescent="0.3">
      <c r="A14" s="79" t="s">
        <v>56</v>
      </c>
      <c r="B14" s="80" t="s">
        <v>57</v>
      </c>
      <c r="C14" s="80"/>
      <c r="D14" s="80"/>
      <c r="E14" s="81">
        <v>213000</v>
      </c>
      <c r="F14" s="87">
        <f>F58</f>
        <v>0</v>
      </c>
      <c r="G14" s="88" t="e">
        <f>E14/F14</f>
        <v>#DIV/0!</v>
      </c>
    </row>
    <row r="15" spans="1:7" ht="15.75" thickBot="1" x14ac:dyDescent="0.3">
      <c r="A15" s="79" t="s">
        <v>58</v>
      </c>
      <c r="B15" s="80" t="s">
        <v>59</v>
      </c>
      <c r="C15" s="80"/>
      <c r="D15" s="80"/>
      <c r="E15" s="81">
        <v>600000</v>
      </c>
      <c r="F15" s="87">
        <f>F59</f>
        <v>0</v>
      </c>
      <c r="G15" s="88" t="e">
        <f>E15/F15</f>
        <v>#DIV/0!</v>
      </c>
    </row>
    <row r="16" spans="1:7" ht="15.75" thickBot="1" x14ac:dyDescent="0.3">
      <c r="A16" s="79" t="s">
        <v>15</v>
      </c>
      <c r="B16" s="80" t="s">
        <v>60</v>
      </c>
      <c r="C16" s="80"/>
      <c r="D16" s="80"/>
      <c r="E16" s="81">
        <v>164550</v>
      </c>
      <c r="F16" s="87">
        <f>282500+525000+813000+25000</f>
        <v>1645500</v>
      </c>
      <c r="G16" s="88">
        <f>E16/F16</f>
        <v>0.1</v>
      </c>
    </row>
    <row r="17" spans="1:7" x14ac:dyDescent="0.25">
      <c r="A17" s="89"/>
      <c r="B17" s="73"/>
      <c r="C17" s="73"/>
      <c r="D17" s="73"/>
      <c r="E17" s="49"/>
      <c r="F17" s="83"/>
      <c r="G17" s="49"/>
    </row>
    <row r="18" spans="1:7" x14ac:dyDescent="0.25">
      <c r="A18" s="86" t="s">
        <v>62</v>
      </c>
      <c r="B18">
        <f>(0.1*40000+0.2*30000+0.1*15000)/500</f>
        <v>23</v>
      </c>
      <c r="D18" t="s">
        <v>48</v>
      </c>
    </row>
    <row r="19" spans="1:7" x14ac:dyDescent="0.25">
      <c r="A19" s="86" t="s">
        <v>63</v>
      </c>
      <c r="B19">
        <f>0.3*15000/500</f>
        <v>9</v>
      </c>
      <c r="E19" t="s">
        <v>69</v>
      </c>
      <c r="F19">
        <f>30*5</f>
        <v>150</v>
      </c>
      <c r="G19" t="s">
        <v>72</v>
      </c>
    </row>
    <row r="20" spans="1:7" x14ac:dyDescent="0.25">
      <c r="A20" s="86" t="s">
        <v>64</v>
      </c>
      <c r="B20">
        <f>(0.5*30000+0.6*15000)/1000</f>
        <v>24</v>
      </c>
      <c r="E20" t="s">
        <v>70</v>
      </c>
      <c r="F20">
        <f>30*4</f>
        <v>120</v>
      </c>
      <c r="G20" t="s">
        <v>72</v>
      </c>
    </row>
    <row r="21" spans="1:7" x14ac:dyDescent="0.25">
      <c r="A21" s="86" t="s">
        <v>65</v>
      </c>
      <c r="B21">
        <f>(0.2*40000+0.3*15000)/500</f>
        <v>25</v>
      </c>
      <c r="E21" t="s">
        <v>71</v>
      </c>
      <c r="F21">
        <f>65*5</f>
        <v>325</v>
      </c>
      <c r="G21" t="s">
        <v>72</v>
      </c>
    </row>
    <row r="22" spans="1:7" x14ac:dyDescent="0.25">
      <c r="A22" s="86" t="s">
        <v>66</v>
      </c>
      <c r="B22">
        <f>(0.4*40000+0.6*30000)/2000</f>
        <v>17</v>
      </c>
      <c r="F22" s="68">
        <f>SUM(F19:F21)</f>
        <v>595</v>
      </c>
    </row>
    <row r="23" spans="1:7" ht="30" x14ac:dyDescent="0.25">
      <c r="A23" s="86" t="s">
        <v>67</v>
      </c>
      <c r="B23">
        <f>(0.5*40000)/2000</f>
        <v>10</v>
      </c>
      <c r="D23" s="127" t="s">
        <v>56</v>
      </c>
      <c r="E23">
        <f>(1.2*40000+1.3*30000+1.3*15000)</f>
        <v>106500</v>
      </c>
    </row>
    <row r="24" spans="1:7" ht="30" x14ac:dyDescent="0.25">
      <c r="A24" s="86" t="s">
        <v>68</v>
      </c>
      <c r="B24">
        <f>(40000+30000+15000)/5000</f>
        <v>17</v>
      </c>
      <c r="D24" s="127" t="s">
        <v>58</v>
      </c>
      <c r="E24">
        <f>3*40000+2/3*30000+1*30000+2*15000</f>
        <v>200000</v>
      </c>
      <c r="F24" t="s">
        <v>73</v>
      </c>
    </row>
    <row r="25" spans="1:7" x14ac:dyDescent="0.25">
      <c r="A25" s="89"/>
      <c r="B25" s="89">
        <f>SUM(B18:B24)</f>
        <v>125</v>
      </c>
      <c r="C25" s="73"/>
      <c r="D25" s="73"/>
      <c r="E25" s="49"/>
      <c r="F25" s="83"/>
      <c r="G25" s="49"/>
    </row>
    <row r="26" spans="1:7" ht="15.75" thickBot="1" x14ac:dyDescent="0.3">
      <c r="A26" s="89" t="s">
        <v>74</v>
      </c>
      <c r="B26" s="73"/>
      <c r="C26" s="73"/>
      <c r="D26" s="73"/>
      <c r="E26" s="49"/>
      <c r="F26" s="83"/>
      <c r="G26" s="49"/>
    </row>
    <row r="27" spans="1:7" x14ac:dyDescent="0.25">
      <c r="A27" s="93" t="s">
        <v>32</v>
      </c>
      <c r="B27" s="163" t="s">
        <v>74</v>
      </c>
      <c r="C27" s="164"/>
      <c r="D27" s="165"/>
      <c r="E27" s="101" t="s">
        <v>75</v>
      </c>
      <c r="F27" s="83"/>
      <c r="G27" s="49"/>
    </row>
    <row r="28" spans="1:7" x14ac:dyDescent="0.25">
      <c r="A28" s="94" t="s">
        <v>43</v>
      </c>
      <c r="B28" s="96"/>
      <c r="C28" s="73"/>
      <c r="D28" s="74"/>
      <c r="E28" s="102"/>
      <c r="F28" s="83"/>
      <c r="G28" s="49"/>
    </row>
    <row r="29" spans="1:7" ht="15.75" thickBot="1" x14ac:dyDescent="0.3">
      <c r="A29" s="94" t="s">
        <v>62</v>
      </c>
      <c r="B29" s="97">
        <v>14000</v>
      </c>
      <c r="C29" s="90" t="s">
        <v>76</v>
      </c>
      <c r="D29" s="98">
        <f>B29*1/3</f>
        <v>4666.666666666667</v>
      </c>
      <c r="E29" s="102"/>
      <c r="F29" s="83"/>
      <c r="G29" s="49"/>
    </row>
    <row r="30" spans="1:7" ht="15.75" thickBot="1" x14ac:dyDescent="0.3">
      <c r="A30" s="94" t="s">
        <v>65</v>
      </c>
      <c r="B30" s="97">
        <v>14000</v>
      </c>
      <c r="C30" s="91" t="s">
        <v>77</v>
      </c>
      <c r="D30" s="98">
        <f>B30/2</f>
        <v>7000</v>
      </c>
      <c r="E30" s="102"/>
      <c r="F30" s="83"/>
      <c r="G30" s="49"/>
    </row>
    <row r="31" spans="1:7" ht="15.75" thickBot="1" x14ac:dyDescent="0.3">
      <c r="A31" s="94" t="s">
        <v>66</v>
      </c>
      <c r="B31" s="97">
        <v>14000</v>
      </c>
      <c r="C31" s="91" t="s">
        <v>77</v>
      </c>
      <c r="D31" s="98">
        <f>B31/2</f>
        <v>7000</v>
      </c>
      <c r="E31" s="102"/>
      <c r="F31" s="83"/>
      <c r="G31" s="49"/>
    </row>
    <row r="32" spans="1:7" ht="15.75" thickBot="1" x14ac:dyDescent="0.3">
      <c r="A32" s="94" t="s">
        <v>67</v>
      </c>
      <c r="B32" s="97">
        <v>14000</v>
      </c>
      <c r="C32" s="92">
        <v>1</v>
      </c>
      <c r="D32" s="98">
        <f>B32/C32</f>
        <v>14000</v>
      </c>
      <c r="E32" s="102"/>
      <c r="F32" s="83"/>
      <c r="G32" s="49"/>
    </row>
    <row r="33" spans="1:7" ht="15.75" thickBot="1" x14ac:dyDescent="0.3">
      <c r="A33" s="94" t="s">
        <v>68</v>
      </c>
      <c r="B33" s="97">
        <v>14000</v>
      </c>
      <c r="C33" s="91" t="s">
        <v>76</v>
      </c>
      <c r="D33" s="98">
        <f>B33*1/3</f>
        <v>4666.666666666667</v>
      </c>
      <c r="E33" s="103" t="s">
        <v>78</v>
      </c>
      <c r="F33" s="83"/>
      <c r="G33" s="49"/>
    </row>
    <row r="34" spans="1:7" ht="15.75" thickBot="1" x14ac:dyDescent="0.3">
      <c r="A34" s="95"/>
      <c r="B34" s="99"/>
      <c r="C34" s="78"/>
      <c r="D34" s="100">
        <f>SUM(D29:D33)</f>
        <v>37333.333333333336</v>
      </c>
      <c r="E34" s="97">
        <f>D34/40000</f>
        <v>0.93333333333333335</v>
      </c>
      <c r="F34" s="83"/>
      <c r="G34" s="49"/>
    </row>
    <row r="35" spans="1:7" x14ac:dyDescent="0.25">
      <c r="A35" s="104" t="s">
        <v>79</v>
      </c>
      <c r="B35" s="109" t="s">
        <v>80</v>
      </c>
      <c r="C35" s="70"/>
      <c r="D35" s="72">
        <f>50*1000</f>
        <v>50000</v>
      </c>
      <c r="E35" s="108" t="s">
        <v>81</v>
      </c>
      <c r="F35" s="83"/>
      <c r="G35" s="49"/>
    </row>
    <row r="36" spans="1:7" ht="15.75" thickBot="1" x14ac:dyDescent="0.3">
      <c r="A36" s="106"/>
      <c r="B36" s="99"/>
      <c r="C36" s="78"/>
      <c r="D36" s="24"/>
      <c r="E36" s="97">
        <f>50000/40000</f>
        <v>1.25</v>
      </c>
      <c r="F36" s="83"/>
      <c r="G36" s="49"/>
    </row>
    <row r="37" spans="1:7" x14ac:dyDescent="0.25">
      <c r="A37" s="93" t="s">
        <v>48</v>
      </c>
      <c r="B37" s="105" t="s">
        <v>82</v>
      </c>
      <c r="C37" s="70"/>
      <c r="D37" s="70">
        <f>30*5*100</f>
        <v>15000</v>
      </c>
      <c r="E37" s="107" t="s">
        <v>83</v>
      </c>
      <c r="F37" s="83"/>
      <c r="G37" s="49"/>
    </row>
    <row r="38" spans="1:7" ht="15.75" thickBot="1" x14ac:dyDescent="0.3">
      <c r="A38" s="95"/>
      <c r="B38" s="78"/>
      <c r="C38" s="78"/>
      <c r="D38" s="78"/>
      <c r="E38" s="85">
        <f>15000/40000</f>
        <v>0.375</v>
      </c>
      <c r="F38" s="83"/>
      <c r="G38" s="49"/>
    </row>
    <row r="39" spans="1:7" x14ac:dyDescent="0.25">
      <c r="A39" s="104" t="s">
        <v>50</v>
      </c>
      <c r="B39" s="70" t="s">
        <v>84</v>
      </c>
      <c r="C39" s="70"/>
      <c r="D39" s="70">
        <f>30*2000</f>
        <v>60000</v>
      </c>
      <c r="E39" s="107" t="s">
        <v>85</v>
      </c>
      <c r="F39" s="83"/>
      <c r="G39" s="49"/>
    </row>
    <row r="40" spans="1:7" ht="15.75" thickBot="1" x14ac:dyDescent="0.3">
      <c r="A40" s="106"/>
      <c r="B40" s="78"/>
      <c r="C40" s="78"/>
      <c r="D40" s="78"/>
      <c r="E40" s="85">
        <f>60000/40000</f>
        <v>1.5</v>
      </c>
      <c r="F40" s="83"/>
      <c r="G40" s="49"/>
    </row>
    <row r="41" spans="1:7" x14ac:dyDescent="0.25">
      <c r="A41" s="104" t="s">
        <v>54</v>
      </c>
      <c r="B41" s="70"/>
      <c r="C41" s="70"/>
      <c r="D41" s="110">
        <f>G13</f>
        <v>100000</v>
      </c>
      <c r="E41" s="107" t="s">
        <v>86</v>
      </c>
      <c r="F41" s="83"/>
      <c r="G41" s="49"/>
    </row>
    <row r="42" spans="1:7" ht="15.75" thickBot="1" x14ac:dyDescent="0.3">
      <c r="A42" s="106"/>
      <c r="B42" s="78"/>
      <c r="C42" s="78"/>
      <c r="D42" s="78"/>
      <c r="E42" s="85">
        <f>100000/40000</f>
        <v>2.5</v>
      </c>
      <c r="F42" s="83"/>
      <c r="G42" s="49"/>
    </row>
    <row r="43" spans="1:7" x14ac:dyDescent="0.25">
      <c r="A43" s="104" t="s">
        <v>56</v>
      </c>
      <c r="B43" s="70" t="s">
        <v>87</v>
      </c>
      <c r="C43" s="70"/>
      <c r="D43" s="70">
        <f>1.2*40000*2</f>
        <v>96000</v>
      </c>
      <c r="E43" s="107" t="s">
        <v>88</v>
      </c>
      <c r="F43" s="83"/>
      <c r="G43" s="49"/>
    </row>
    <row r="44" spans="1:7" ht="15.75" thickBot="1" x14ac:dyDescent="0.3">
      <c r="A44" s="106"/>
      <c r="B44" s="78"/>
      <c r="C44" s="78"/>
      <c r="D44" s="78"/>
      <c r="E44" s="85">
        <f>96000/40000</f>
        <v>2.4</v>
      </c>
      <c r="F44" s="83"/>
      <c r="G44" s="49"/>
    </row>
    <row r="45" spans="1:7" x14ac:dyDescent="0.25">
      <c r="A45" s="104" t="s">
        <v>58</v>
      </c>
      <c r="B45" s="70" t="s">
        <v>89</v>
      </c>
      <c r="C45" s="70"/>
      <c r="D45" s="70">
        <f>3*40000*3</f>
        <v>360000</v>
      </c>
      <c r="E45" s="107" t="s">
        <v>90</v>
      </c>
      <c r="F45" s="83"/>
      <c r="G45" s="49"/>
    </row>
    <row r="46" spans="1:7" ht="15.75" thickBot="1" x14ac:dyDescent="0.3">
      <c r="A46" s="99"/>
      <c r="B46" s="78"/>
      <c r="C46" s="78"/>
      <c r="D46" s="78"/>
      <c r="E46" s="112">
        <f>360000/40000</f>
        <v>9</v>
      </c>
    </row>
    <row r="47" spans="1:7" x14ac:dyDescent="0.25">
      <c r="A47" s="113" t="s">
        <v>15</v>
      </c>
      <c r="B47" s="70" t="s">
        <v>91</v>
      </c>
      <c r="C47" s="70"/>
      <c r="D47" s="114">
        <f>(D34+D35+D37+D39+D41+D43+D45)*0.1</f>
        <v>71833.333333333343</v>
      </c>
      <c r="E47" s="115" t="s">
        <v>92</v>
      </c>
    </row>
    <row r="48" spans="1:7" ht="15.75" thickBot="1" x14ac:dyDescent="0.3">
      <c r="A48" s="99"/>
      <c r="B48" s="78"/>
      <c r="C48" s="78"/>
      <c r="D48" s="78"/>
      <c r="E48" s="112">
        <f>D47/40000</f>
        <v>1.7958333333333336</v>
      </c>
    </row>
    <row r="49" spans="1:7" ht="15.75" thickBot="1" x14ac:dyDescent="0.3">
      <c r="A49" s="116" t="s">
        <v>5</v>
      </c>
      <c r="B49" s="80"/>
      <c r="C49" s="80"/>
      <c r="D49" s="118">
        <f>D34+D35+D37+D39+D41+D43+D45+D47</f>
        <v>790166.66666666674</v>
      </c>
      <c r="E49" s="117">
        <f>D49/40000</f>
        <v>19.75416666666667</v>
      </c>
    </row>
    <row r="50" spans="1:7" ht="15.75" thickBot="1" x14ac:dyDescent="0.3">
      <c r="A50" s="119" t="s">
        <v>93</v>
      </c>
      <c r="B50" s="80"/>
      <c r="C50" s="80"/>
      <c r="D50" s="120">
        <f>40000*(0.1*40+0.2*90+0.4*10+0.5*20+1*30)</f>
        <v>2640000</v>
      </c>
      <c r="E50" s="117">
        <f>D50/40000</f>
        <v>66</v>
      </c>
    </row>
    <row r="51" spans="1:7" ht="15.75" thickBot="1" x14ac:dyDescent="0.3">
      <c r="A51" s="119" t="s">
        <v>94</v>
      </c>
      <c r="B51" s="80"/>
      <c r="C51" s="80"/>
      <c r="D51" s="118">
        <f>D49+D50</f>
        <v>3430166.666666667</v>
      </c>
      <c r="E51" s="117">
        <f>D51/40000</f>
        <v>85.754166666666677</v>
      </c>
    </row>
    <row r="52" spans="1:7" x14ac:dyDescent="0.25">
      <c r="E52" s="111"/>
    </row>
    <row r="53" spans="1:7" x14ac:dyDescent="0.25">
      <c r="A53" s="86" t="s">
        <v>95</v>
      </c>
    </row>
    <row r="54" spans="1:7" x14ac:dyDescent="0.25">
      <c r="A54" s="86"/>
    </row>
    <row r="55" spans="1:7" x14ac:dyDescent="0.25">
      <c r="A55" s="86"/>
      <c r="B55" s="11" t="s">
        <v>96</v>
      </c>
      <c r="C55" s="11" t="s">
        <v>97</v>
      </c>
      <c r="D55" s="11" t="s">
        <v>98</v>
      </c>
      <c r="E55" s="11" t="s">
        <v>96</v>
      </c>
      <c r="F55" s="11" t="s">
        <v>97</v>
      </c>
      <c r="G55" s="11" t="s">
        <v>98</v>
      </c>
    </row>
    <row r="56" spans="1:7" x14ac:dyDescent="0.25">
      <c r="A56" s="121" t="s">
        <v>99</v>
      </c>
      <c r="B56" s="1">
        <v>23.23</v>
      </c>
      <c r="C56" s="1">
        <v>18.989999999999998</v>
      </c>
      <c r="D56" s="1">
        <v>21.18</v>
      </c>
      <c r="E56" s="1">
        <f>B56*1.2</f>
        <v>27.876000000000001</v>
      </c>
      <c r="F56" s="1">
        <f t="shared" ref="F56:G57" si="0">C56*1.2</f>
        <v>22.787999999999997</v>
      </c>
      <c r="G56" s="1">
        <f t="shared" si="0"/>
        <v>25.416</v>
      </c>
    </row>
    <row r="57" spans="1:7" x14ac:dyDescent="0.25">
      <c r="A57" s="121" t="s">
        <v>100</v>
      </c>
      <c r="B57" s="123">
        <f>E49</f>
        <v>19.75416666666667</v>
      </c>
      <c r="C57" s="1">
        <v>17.059999999999999</v>
      </c>
      <c r="D57" s="1">
        <v>33.880000000000003</v>
      </c>
      <c r="E57" s="1">
        <f>B57*1.2</f>
        <v>23.705000000000002</v>
      </c>
      <c r="F57" s="1">
        <f t="shared" si="0"/>
        <v>20.471999999999998</v>
      </c>
      <c r="G57" s="1">
        <f t="shared" si="0"/>
        <v>40.655999999999999</v>
      </c>
    </row>
    <row r="58" spans="1:7" ht="30" x14ac:dyDescent="0.25">
      <c r="A58" s="122" t="s">
        <v>101</v>
      </c>
      <c r="B58" s="123">
        <f>B56-B57</f>
        <v>3.4758333333333304</v>
      </c>
      <c r="C58" s="123">
        <f t="shared" ref="C58:D58" si="1">C56-C57</f>
        <v>1.9299999999999997</v>
      </c>
      <c r="D58" s="123">
        <f t="shared" si="1"/>
        <v>-12.700000000000003</v>
      </c>
    </row>
    <row r="59" spans="1:7" ht="30" x14ac:dyDescent="0.25">
      <c r="A59" s="122" t="s">
        <v>101</v>
      </c>
      <c r="B59" s="124">
        <f>B58/B57</f>
        <v>0.17595443999156279</v>
      </c>
      <c r="C59" s="124">
        <f>C58/C57</f>
        <v>0.11313012895662368</v>
      </c>
      <c r="D59" s="124">
        <f>D58/D57</f>
        <v>-0.37485242030696581</v>
      </c>
    </row>
    <row r="60" spans="1:7" x14ac:dyDescent="0.25">
      <c r="A60" s="86"/>
    </row>
    <row r="61" spans="1:7" x14ac:dyDescent="0.25">
      <c r="A61" s="86" t="s">
        <v>102</v>
      </c>
    </row>
    <row r="62" spans="1:7" x14ac:dyDescent="0.25">
      <c r="A62" s="86" t="s">
        <v>103</v>
      </c>
    </row>
    <row r="63" spans="1:7" x14ac:dyDescent="0.25">
      <c r="A63" s="86" t="s">
        <v>104</v>
      </c>
    </row>
    <row r="64" spans="1:7" x14ac:dyDescent="0.25">
      <c r="A64" s="125" t="s">
        <v>105</v>
      </c>
      <c r="B64" t="s">
        <v>106</v>
      </c>
      <c r="C64">
        <v>90</v>
      </c>
      <c r="D64" t="s">
        <v>107</v>
      </c>
    </row>
    <row r="65" spans="1:4" x14ac:dyDescent="0.25">
      <c r="A65" s="125" t="s">
        <v>7</v>
      </c>
      <c r="B65">
        <v>250000</v>
      </c>
      <c r="D65" s="111">
        <f>B65/C64</f>
        <v>2777.7777777777778</v>
      </c>
    </row>
    <row r="66" spans="1:4" x14ac:dyDescent="0.25">
      <c r="A66" s="125"/>
      <c r="D66" s="111"/>
    </row>
    <row r="67" spans="1:4" x14ac:dyDescent="0.25">
      <c r="A67" s="86" t="s">
        <v>48</v>
      </c>
    </row>
    <row r="68" spans="1:4" x14ac:dyDescent="0.25">
      <c r="A68" s="125" t="s">
        <v>108</v>
      </c>
      <c r="B68" t="s">
        <v>109</v>
      </c>
      <c r="C68">
        <v>420</v>
      </c>
    </row>
    <row r="69" spans="1:4" x14ac:dyDescent="0.25">
      <c r="A69" s="125" t="s">
        <v>7</v>
      </c>
      <c r="B69">
        <v>59500</v>
      </c>
      <c r="D69" s="111">
        <f>B69/C68</f>
        <v>141.66666666666666</v>
      </c>
    </row>
    <row r="71" spans="1:4" x14ac:dyDescent="0.25">
      <c r="A71" s="68" t="s">
        <v>110</v>
      </c>
    </row>
    <row r="72" spans="1:4" x14ac:dyDescent="0.25">
      <c r="A72" t="s">
        <v>104</v>
      </c>
      <c r="B72" t="s">
        <v>111</v>
      </c>
      <c r="D72" s="111">
        <f>30*2777.77-65*2000</f>
        <v>-46666.899999999994</v>
      </c>
    </row>
    <row r="73" spans="1:4" x14ac:dyDescent="0.25">
      <c r="A73" t="s">
        <v>108</v>
      </c>
      <c r="B73" t="s">
        <v>112</v>
      </c>
      <c r="D73" s="111">
        <f>150*141.67-325*100</f>
        <v>-11249.500000000004</v>
      </c>
    </row>
    <row r="74" spans="1:4" x14ac:dyDescent="0.25">
      <c r="A74" t="s">
        <v>113</v>
      </c>
      <c r="B74" t="s">
        <v>114</v>
      </c>
      <c r="D74">
        <f>-((46666.9+11249.5)*0.1)</f>
        <v>-5791.64</v>
      </c>
    </row>
    <row r="75" spans="1:4" x14ac:dyDescent="0.25">
      <c r="D75" s="111">
        <f>SUM(D72:D74)</f>
        <v>-63708.039999999994</v>
      </c>
    </row>
    <row r="76" spans="1:4" x14ac:dyDescent="0.25">
      <c r="A76" t="s">
        <v>115</v>
      </c>
      <c r="C76" s="111">
        <f>-63708.04/15000</f>
        <v>-4.2472026666666665</v>
      </c>
      <c r="D76" t="s">
        <v>116</v>
      </c>
    </row>
    <row r="77" spans="1:4" x14ac:dyDescent="0.25">
      <c r="A77" t="s">
        <v>117</v>
      </c>
      <c r="D77" t="s">
        <v>118</v>
      </c>
    </row>
  </sheetData>
  <mergeCells count="5">
    <mergeCell ref="A4:A5"/>
    <mergeCell ref="B3:E3"/>
    <mergeCell ref="A9:A12"/>
    <mergeCell ref="F4:F6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verticalDpi="0" r:id="rId1"/>
  <rowBreaks count="2" manualBreakCount="2">
    <brk id="25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ABC</vt:lpstr>
      <vt:lpstr>ABC ET CENTRES D'ANALYSE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COUDOUX</cp:lastModifiedBy>
  <dcterms:created xsi:type="dcterms:W3CDTF">2015-12-01T17:37:11Z</dcterms:created>
  <dcterms:modified xsi:type="dcterms:W3CDTF">2016-01-11T10:44:40Z</dcterms:modified>
</cp:coreProperties>
</file>